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<sst xmlns="http://schemas.openxmlformats.org/spreadsheetml/2006/main" count="2853" uniqueCount="2073">
  <si>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</si>
  <si>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</si>
  <si>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</si>
  <si>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</si>
  <si>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</si>
  <si>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</si>
  <si>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</si>
  <si>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</si>
  <si>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</si>
  <si>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</si>
  <si>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</si>
  <si>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</si>
  <si>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</si>
  <si>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</si>
  <si>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</si>
  <si>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</si>
  <si>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</si>
  <si>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</si>
  <si>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</si>
  <si>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</si>
  <si>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</si>
  <si>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</si>
  <si>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</si>
  <si>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</si>
  <si>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</si>
  <si>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</si>
  <si>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</si>
  <si>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</si>
  <si>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</si>
  <si>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</si>
  <si>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</si>
  <si>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</si>
  <si>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</si>
  <si>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</si>
  <si>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</si>
  <si>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</si>
  <si>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</si>
  <si>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</si>
  <si>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</si>
  <si>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</si>
  <si>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</si>
  <si>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</si>
  <si>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</si>
  <si>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</si>
  <si>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</si>
  <si>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</si>
  <si>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</si>
  <si>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</si>
  <si>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</si>
  <si>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</si>
  <si>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</si>
  <si>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</si>
  <si>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</si>
  <si>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</si>
  <si>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</si>
  <si>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</si>
  <si>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</si>
  <si>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</si>
  <si>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</si>
  <si>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</si>
  <si>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</si>
  <si>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</si>
  <si>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</si>
  <si>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</si>
  <si>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</si>
  <si>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</si>
  <si>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</si>
  <si>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</si>
  <si>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</si>
  <si>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</si>
  <si>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</si>
  <si>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</si>
  <si>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</si>
  <si>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</si>
  <si>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</si>
  <si>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</si>
  <si>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</si>
  <si>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</si>
  <si>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</si>
  <si>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</si>
  <si>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</si>
  <si>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</si>
  <si>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</si>
  <si>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</si>
  <si>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</si>
  <si>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</si>
  <si>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</si>
  <si>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</si>
  <si>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</si>
  <si>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</si>
  <si>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</si>
  <si>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</si>
  <si>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</si>
  <si>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</si>
  <si>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</si>
  <si>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</si>
  <si>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</si>
  <si>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</si>
  <si>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</si>
  <si>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</si>
  <si>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</si>
  <si>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</si>
  <si>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</si>
  <si>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</si>
  <si>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</si>
  <si>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</si>
  <si>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</si>
  <si>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</si>
  <si>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</si>
  <si>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</si>
  <si>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</si>
  <si>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</si>
  <si>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</si>
  <si>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</si>
  <si>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</si>
  <si>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</si>
  <si>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</si>
  <si>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</si>
  <si>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</si>
  <si>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</si>
  <si>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</si>
  <si>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</si>
  <si>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</si>
  <si>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</si>
  <si>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</si>
  <si>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</si>
  <si>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</si>
  <si>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</si>
  <si>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</si>
  <si>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</si>
  <si>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</si>
  <si>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</si>
  <si>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</si>
  <si>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</si>
  <si>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</si>
  <si>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</si>
  <si>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</si>
  <si>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</si>
  <si>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</si>
  <si>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</si>
  <si>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</si>
  <si>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</si>
  <si>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</si>
  <si>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</si>
  <si>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</si>
  <si>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</si>
  <si>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</si>
  <si>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</si>
  <si>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</si>
  <si>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</si>
  <si>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</si>
  <si>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</si>
  <si>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</si>
  <si>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</si>
  <si>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</si>
  <si>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</si>
  <si>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</si>
  <si>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</si>
  <si>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</si>
  <si>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</si>
  <si>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</si>
  <si>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</si>
  <si>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</si>
  <si>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</si>
  <si>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</si>
  <si>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</si>
  <si>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</si>
  <si>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</si>
  <si>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</si>
  <si>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</si>
  <si>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</si>
  <si>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</si>
  <si>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</si>
  <si>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</si>
  <si>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</si>
  <si>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</si>
  <si>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</si>
  <si>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</si>
  <si>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</si>
  <si>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</si>
  <si>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</si>
  <si>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</si>
  <si>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</si>
  <si>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</si>
  <si>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</si>
  <si>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</si>
  <si>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</si>
  <si>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</si>
  <si>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</si>
  <si>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</si>
  <si>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</si>
  <si>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</si>
  <si>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</si>
  <si>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</si>
  <si>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</si>
  <si>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</si>
  <si>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</si>
  <si>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</si>
  <si>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</si>
  <si>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</si>
  <si>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</si>
  <si>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</si>
  <si>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</si>
  <si>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</si>
  <si>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</si>
  <si>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</si>
  <si>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</si>
  <si>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</si>
  <si>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</si>
  <si>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</si>
  <si>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</si>
  <si>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</si>
  <si>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</si>
  <si>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</si>
  <si>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</si>
  <si>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</si>
  <si>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</si>
  <si>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</si>
  <si>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</si>
  <si>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</si>
  <si>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</si>
  <si>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</si>
  <si>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</si>
  <si>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</si>
  <si>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</si>
  <si>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</si>
  <si>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</si>
  <si>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</si>
  <si>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</si>
  <si>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</si>
  <si>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</si>
  <si>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</si>
  <si>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</si>
  <si>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</si>
  <si>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</si>
  <si>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</si>
  <si>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</si>
  <si>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</si>
  <si>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</si>
  <si>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</si>
  <si>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</si>
  <si>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</si>
  <si>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</si>
  <si>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</si>
  <si>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</si>
  <si>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</si>
  <si>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</si>
  <si>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</si>
  <si>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</si>
  <si>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</si>
  <si>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</si>
  <si>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</si>
  <si>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</si>
  <si>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</si>
  <si>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</si>
  <si>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</si>
  <si>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</si>
  <si>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</si>
  <si>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</si>
  <si>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</si>
  <si>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</si>
  <si>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</si>
  <si>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</si>
  <si>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</si>
  <si>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</si>
  <si>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</si>
  <si>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</si>
  <si>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</si>
  <si>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</si>
  <si>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</si>
  <si>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</si>
  <si>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</si>
  <si>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</si>
  <si>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</si>
  <si>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</si>
  <si>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</si>
  <si>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</si>
  <si>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</si>
  <si>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</si>
  <si>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</si>
  <si>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</si>
  <si>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</si>
  <si>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</si>
  <si>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</si>
  <si>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</si>
  <si>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</si>
  <si>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</si>
  <si>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</si>
  <si>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</si>
  <si>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</si>
  <si>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</si>
  <si>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</si>
  <si>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</si>
  <si>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</si>
  <si>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</si>
  <si>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</si>
  <si>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</si>
  <si>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</si>
  <si>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</si>
  <si>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</si>
  <si>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</si>
  <si>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</si>
  <si>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</si>
  <si>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</si>
  <si>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</si>
  <si>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</si>
  <si>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</si>
  <si>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</si>
  <si>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</si>
  <si>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</si>
  <si>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</si>
  <si>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</si>
  <si>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</si>
  <si>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</si>
  <si>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</si>
  <si>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</si>
  <si>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</si>
  <si>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</si>
  <si>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</si>
  <si>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</si>
  <si>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</si>
  <si>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</si>
  <si>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</si>
  <si>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</si>
  <si>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</si>
  <si>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</si>
  <si>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</si>
  <si>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</si>
  <si>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</si>
  <si>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</si>
  <si>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</si>
  <si>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</si>
  <si>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</si>
  <si>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</si>
  <si>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</si>
  <si>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</si>
  <si>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</si>
  <si>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</si>
  <si>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</si>
  <si>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</si>
  <si>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</si>
  <si>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</si>
  <si>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</si>
  <si>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</si>
  <si>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</si>
  <si>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</si>
  <si>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</si>
  <si>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</si>
  <si>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</si>
  <si>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</si>
  <si>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</si>
  <si>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</si>
  <si>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</si>
  <si>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</si>
  <si>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</si>
  <si>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</si>
  <si>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</si>
  <si>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</si>
  <si>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</si>
  <si>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</si>
  <si>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</si>
  <si>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</si>
  <si>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</si>
  <si>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</si>
  <si>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</si>
  <si>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</si>
  <si>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</si>
  <si>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</si>
  <si>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</si>
  <si>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</si>
  <si>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</si>
  <si>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</si>
  <si>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</si>
  <si>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</si>
  <si>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</si>
  <si>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</si>
  <si>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</si>
  <si>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</si>
  <si>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</si>
  <si>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</si>
  <si>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</si>
  <si>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</si>
  <si>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</si>
  <si>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</si>
  <si>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</si>
  <si>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</si>
  <si>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</si>
  <si>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</si>
  <si>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</si>
  <si>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</si>
  <si>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</si>
  <si>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</si>
  <si>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</si>
  <si>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</si>
  <si>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</si>
  <si>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</si>
  <si>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</si>
  <si>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</si>
  <si>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</si>
  <si>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</si>
  <si>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</si>
  <si>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</si>
  <si>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</si>
  <si>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</si>
  <si>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</si>
  <si>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</si>
  <si>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</si>
  <si>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</si>
  <si>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</si>
  <si>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</si>
  <si>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</si>
  <si>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</si>
  <si>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</si>
  <si>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</si>
  <si>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</si>
  <si>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</si>
  <si>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</si>
  <si>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</si>
  <si>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</si>
  <si>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</si>
  <si>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</si>
  <si>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</si>
  <si>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</si>
  <si>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</si>
  <si>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</si>
  <si>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</si>
  <si>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</si>
  <si>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</si>
  <si>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</si>
  <si>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</si>
  <si>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</si>
  <si>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</si>
  <si>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</si>
  <si>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</si>
  <si>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</si>
  <si>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</si>
  <si>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</si>
  <si>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</si>
  <si>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</si>
  <si>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</si>
  <si>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</si>
  <si>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</si>
  <si>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</si>
  <si>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</si>
  <si>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</si>
  <si>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</si>
  <si>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</si>
  <si>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</si>
  <si>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</si>
  <si>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</si>
  <si>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</si>
  <si>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</si>
  <si>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</si>
  <si>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</si>
  <si>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</si>
  <si>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</si>
  <si>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</si>
  <si>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</si>
  <si>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</si>
  <si>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</si>
  <si>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</si>
  <si>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</si>
  <si>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</si>
  <si>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</si>
  <si>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</si>
  <si>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</si>
  <si>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</si>
  <si>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</si>
  <si>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</si>
  <si>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</si>
  <si>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</si>
  <si>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</si>
  <si>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</si>
  <si>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</si>
  <si>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</si>
  <si>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</si>
  <si>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</si>
  <si>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</si>
  <si>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</si>
  <si>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</si>
  <si>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</si>
  <si>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</si>
  <si>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</si>
  <si>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</si>
  <si>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</si>
  <si>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</si>
  <si>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</si>
  <si>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</si>
  <si>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</si>
  <si>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</si>
  <si>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</si>
  <si>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</si>
  <si>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</si>
  <si>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</si>
  <si>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</si>
  <si>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</si>
  <si>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</si>
  <si>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</si>
  <si>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</si>
  <si>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</si>
  <si>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</si>
  <si>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</si>
  <si>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</si>
  <si>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</si>
  <si>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</si>
  <si>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</si>
  <si>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</si>
  <si>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</si>
  <si>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</si>
  <si>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</si>
  <si>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</si>
  <si>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</si>
  <si>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</si>
  <si>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</si>
  <si>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</si>
  <si>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</si>
  <si>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</si>
  <si>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</si>
  <si>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</si>
  <si>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</si>
  <si>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</si>
  <si>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</si>
  <si>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</si>
  <si>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</si>
  <si>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</si>
  <si>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</si>
  <si>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</si>
  <si>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</si>
  <si>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</si>
  <si>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</si>
  <si>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</si>
  <si>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</si>
  <si>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</si>
  <si>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</si>
  <si>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</si>
  <si>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</si>
  <si>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</si>
  <si>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</si>
  <si>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</si>
  <si>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</si>
  <si>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</si>
  <si>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</si>
  <si>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</si>
  <si>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</si>
  <si>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</si>
  <si>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</si>
  <si>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</si>
  <si>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</si>
  <si>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</si>
  <si>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</si>
  <si>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</si>
  <si>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</si>
  <si>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</si>
  <si>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</si>
  <si>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</si>
  <si>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</si>
  <si>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</si>
  <si>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</si>
  <si>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</si>
  <si>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</si>
  <si>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</si>
  <si>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</si>
  <si>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</si>
  <si>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</si>
  <si>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</si>
  <si>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</si>
  <si>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</si>
  <si>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</si>
  <si>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</si>
  <si>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</si>
  <si>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</si>
  <si>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</si>
  <si>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</si>
  <si>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</si>
  <si>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</si>
  <si>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</si>
  <si>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</si>
  <si>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</si>
  <si>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</si>
  <si>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</si>
  <si>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</si>
  <si>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</si>
  <si>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</si>
  <si>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</si>
  <si>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</si>
  <si>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</si>
  <si>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</si>
  <si>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</si>
  <si>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</si>
  <si>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</si>
  <si>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</si>
  <si>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</si>
  <si>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</si>
  <si>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</si>
  <si>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</si>
  <si>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</si>
  <si>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</si>
  <si>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</si>
  <si>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</si>
  <si>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</si>
  <si>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</si>
  <si>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</si>
  <si>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</si>
  <si>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</si>
  <si>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</si>
  <si>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</si>
  <si>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</si>
  <si>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</si>
  <si>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</si>
  <si>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</si>
  <si>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</si>
  <si>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</si>
  <si>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</si>
  <si>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</si>
  <si>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</si>
  <si>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</si>
  <si>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</si>
  <si>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</si>
  <si>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</si>
  <si>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</si>
  <si>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</si>
  <si>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</si>
  <si>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</si>
  <si>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</si>
  <si>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</si>
  <si>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</si>
  <si>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</si>
  <si>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</si>
  <si>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</si>
  <si>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</si>
  <si>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</si>
  <si>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</si>
  <si>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</si>
  <si>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</si>
  <si>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</si>
  <si>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</si>
  <si>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</si>
  <si>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</si>
  <si>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</si>
  <si>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</si>
  <si>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</si>
  <si>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</si>
  <si>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</si>
  <si>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</si>
  <si>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</si>
  <si>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</si>
  <si>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</si>
  <si>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</si>
  <si>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</si>
  <si>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</si>
  <si>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</si>
  <si>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</si>
  <si>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</si>
  <si>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</si>
  <si>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</si>
  <si>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</si>
  <si>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</si>
  <si>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</si>
  <si>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</si>
  <si>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</si>
  <si>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</si>
  <si>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</si>
  <si>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</si>
  <si>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</si>
  <si>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</si>
  <si>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</si>
  <si>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</si>
  <si>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</si>
  <si>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</si>
  <si>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</si>
  <si>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</si>
  <si>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</si>
  <si>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</si>
  <si>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</si>
  <si>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</si>
  <si>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</si>
  <si>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</si>
  <si>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</si>
  <si>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</si>
  <si>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</si>
  <si>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</si>
  <si>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</si>
  <si>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</si>
  <si>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</si>
  <si>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</si>
  <si>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</si>
  <si>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</si>
  <si>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</si>
  <si>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</si>
  <si>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</si>
  <si>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</si>
  <si>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</si>
  <si>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</si>
  <si>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</si>
  <si>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</si>
  <si>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</si>
  <si>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</si>
  <si>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</si>
  <si>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</si>
  <si>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</si>
  <si>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</si>
  <si>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</si>
  <si>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</si>
  <si>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</si>
  <si>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</si>
  <si>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</si>
  <si>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</si>
  <si>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</si>
  <si>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</si>
  <si>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</si>
  <si>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</si>
  <si>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</si>
  <si>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</si>
  <si>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</si>
  <si>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</si>
  <si>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</si>
  <si>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</si>
  <si>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</si>
  <si>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</si>
  <si>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</si>
  <si>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</si>
  <si>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</si>
  <si>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</si>
  <si>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</si>
  <si>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</si>
  <si>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</si>
  <si>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</si>
  <si>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</si>
  <si>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</si>
  <si>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</si>
  <si>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</si>
  <si>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</si>
  <si>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</si>
  <si>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</si>
  <si>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</si>
  <si>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</si>
  <si>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</si>
  <si>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</si>
  <si>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</si>
  <si>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</si>
  <si>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</si>
  <si>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</si>
  <si>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</si>
  <si>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</si>
  <si>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</si>
  <si>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</si>
  <si>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</si>
  <si>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</si>
  <si>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</si>
  <si>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</si>
  <si>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</si>
  <si>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</si>
  <si>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</si>
  <si>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</si>
  <si>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</si>
  <si>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</si>
  <si>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</si>
  <si>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</si>
  <si>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</si>
  <si>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</si>
  <si>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</si>
  <si>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</si>
  <si>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</si>
  <si>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</si>
  <si>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</si>
  <si>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</si>
  <si>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</si>
  <si>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</si>
  <si>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</si>
  <si>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</si>
  <si>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</si>
  <si>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</si>
  <si>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</si>
  <si>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</si>
  <si>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</si>
  <si>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</si>
  <si>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</si>
  <si>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</si>
  <si>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</si>
  <si>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</si>
  <si>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</si>
  <si>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</si>
  <si>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</si>
  <si>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</si>
  <si>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</si>
  <si>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</si>
  <si>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</si>
  <si>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</si>
  <si>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</si>
  <si>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</si>
  <si>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</si>
  <si>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</si>
  <si>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</si>
  <si>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</si>
  <si>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</si>
  <si>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</si>
  <si>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</si>
  <si>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</si>
  <si>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</si>
  <si>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</si>
  <si>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</si>
  <si>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</si>
  <si>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</si>
  <si>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</si>
  <si>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</si>
  <si>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</si>
  <si>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</si>
  <si>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</si>
  <si>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</si>
  <si>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</si>
  <si>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</si>
  <si>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</si>
  <si>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</si>
  <si>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</si>
  <si>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</si>
  <si>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</si>
  <si>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</si>
  <si>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</si>
  <si>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</si>
  <si>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</si>
  <si>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</si>
  <si>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</si>
  <si>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</si>
  <si>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</si>
  <si>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</si>
  <si>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</si>
  <si>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</si>
  <si>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</si>
  <si>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</si>
  <si>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</si>
  <si>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</si>
  <si>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</si>
  <si>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</si>
  <si>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</si>
  <si>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</si>
  <si>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</si>
  <si>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</si>
  <si>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</si>
  <si>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</si>
  <si>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</si>
  <si>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</si>
  <si>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</si>
  <si>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</si>
  <si>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</si>
  <si>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</si>
  <si>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</si>
  <si>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</si>
  <si>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</si>
  <si>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</si>
  <si>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</si>
  <si>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</si>
  <si>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</si>
  <si>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</si>
  <si>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</si>
  <si>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</si>
  <si>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</si>
  <si>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</si>
  <si>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</si>
  <si>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</si>
  <si>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</si>
  <si>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</si>
  <si>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</si>
  <si>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</si>
  <si>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</si>
  <si>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</si>
  <si>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</si>
  <si>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</si>
  <si>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</si>
  <si>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</si>
  <si>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</si>
  <si>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</si>
  <si>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</si>
  <si>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</si>
  <si>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</si>
  <si>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</si>
  <si>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</si>
  <si>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</si>
  <si>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</si>
  <si>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</si>
  <si>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</si>
  <si>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</si>
  <si>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</si>
  <si>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</si>
  <si>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</si>
  <si>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</si>
  <si>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</si>
  <si>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</si>
  <si>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</si>
  <si>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</si>
  <si>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</si>
  <si>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</si>
  <si>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</si>
  <si>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</si>
  <si>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</si>
  <si>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</si>
  <si>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</si>
  <si>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</si>
  <si>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</si>
  <si>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</si>
  <si>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</si>
  <si>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</si>
  <si>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</si>
  <si>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</si>
  <si>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</si>
  <si>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</si>
  <si>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</si>
  <si>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</si>
  <si>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</si>
  <si>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</si>
  <si>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</si>
  <si>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</si>
  <si>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</si>
  <si>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</si>
  <si>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</si>
  <si>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</si>
  <si>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</si>
  <si>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</si>
  <si>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</si>
  <si>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</si>
  <si>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</si>
  <si>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</si>
  <si>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</si>
  <si>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</si>
  <si>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</si>
  <si>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</si>
  <si>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</si>
  <si>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</si>
  <si>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</si>
  <si>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</si>
  <si>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</si>
  <si>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</si>
  <si>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</si>
  <si>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</si>
  <si>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</si>
  <si>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</si>
  <si>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</si>
  <si>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</si>
  <si>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</si>
  <si>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</si>
  <si>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</si>
  <si>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</si>
  <si>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</si>
  <si>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</si>
  <si>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</si>
  <si>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</si>
  <si>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</si>
  <si>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</si>
  <si>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</si>
  <si>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</si>
  <si>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</si>
  <si>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</si>
  <si>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</si>
  <si>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</si>
  <si>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</si>
  <si>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</si>
  <si>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</si>
  <si>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</si>
  <si>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</si>
  <si>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</si>
  <si>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</si>
  <si>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</si>
  <si>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</si>
  <si>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</si>
  <si>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</si>
  <si>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</si>
  <si>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</si>
  <si>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</si>
  <si>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</si>
  <si>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</si>
  <si>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</si>
  <si>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</si>
  <si>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</si>
  <si>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</si>
  <si>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</si>
  <si>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</si>
  <si>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</si>
  <si>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</si>
  <si>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</si>
  <si>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</si>
  <si>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</si>
  <si>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</si>
  <si>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</si>
  <si>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</si>
  <si>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</si>
  <si>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</si>
  <si>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</si>
  <si>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</si>
  <si>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</si>
  <si>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</si>
  <si>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</si>
  <si>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</si>
  <si>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</si>
  <si>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</si>
  <si>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</si>
  <si>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</si>
  <si>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</si>
  <si>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</si>
  <si>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</si>
  <si>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</si>
  <si>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</si>
  <si>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</si>
  <si>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</si>
  <si>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</si>
  <si>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</si>
  <si>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</si>
  <si>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</si>
  <si>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</si>
  <si>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</si>
  <si>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</si>
  <si>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</si>
  <si>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</si>
  <si>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</si>
  <si>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</si>
  <si>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</si>
  <si>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</si>
  <si>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</si>
  <si>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</si>
  <si>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</si>
  <si>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</si>
  <si>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</si>
  <si>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</si>
  <si>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</si>
  <si>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</si>
  <si>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</si>
  <si>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</si>
  <si>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</si>
  <si>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</si>
  <si>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</si>
  <si>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</si>
  <si>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</si>
  <si>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</si>
  <si>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</si>
  <si>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</si>
  <si>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</si>
  <si>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</si>
  <si>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</si>
  <si>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</si>
  <si>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</si>
  <si>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</si>
  <si>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</si>
  <si>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</si>
  <si>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</si>
  <si>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</si>
  <si>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</si>
  <si>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</si>
  <si>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</si>
  <si>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</si>
  <si>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</si>
  <si>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</si>
  <si>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</si>
  <si>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</si>
  <si>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</si>
  <si>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</si>
  <si>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</si>
  <si>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</si>
  <si>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</si>
  <si>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</si>
  <si>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</si>
  <si>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</si>
  <si>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</si>
  <si>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</si>
  <si>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</si>
  <si>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</si>
  <si>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</si>
  <si>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</si>
  <si>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</si>
  <si>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</si>
  <si>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</si>
  <si>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</si>
  <si>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</si>
  <si>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</si>
  <si>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</si>
  <si>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</si>
  <si>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</si>
  <si>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</si>
  <si>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</si>
  <si>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</si>
  <si>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</si>
  <si>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</si>
  <si>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</si>
  <si>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</si>
  <si>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</si>
  <si>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</si>
  <si>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</si>
  <si>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</si>
  <si>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</si>
  <si>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</si>
  <si>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</si>
  <si>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</si>
  <si>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</si>
  <si>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</si>
  <si>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</si>
  <si>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</si>
  <si>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</si>
  <si>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</si>
  <si>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</si>
  <si>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</si>
  <si>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</si>
  <si>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</si>
  <si>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</si>
  <si>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</si>
  <si>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</si>
  <si>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</si>
  <si>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</si>
  <si>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</si>
  <si>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</si>
  <si>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</si>
  <si>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</si>
  <si>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</si>
  <si>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</si>
  <si>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</si>
  <si>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</si>
  <si>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</si>
  <si>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</si>
  <si>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</si>
  <si>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</si>
  <si>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</si>
  <si>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</si>
  <si>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</si>
  <si>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</si>
  <si>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</si>
  <si>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</si>
  <si>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</si>
  <si>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</si>
  <si>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</si>
  <si>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</si>
  <si>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</si>
  <si>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</si>
  <si>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</si>
  <si>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</si>
  <si>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</si>
  <si>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</si>
  <si>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</si>
  <si>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</si>
  <si>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</si>
  <si>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</si>
  <si>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</si>
  <si>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</si>
  <si>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</si>
  <si>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</si>
  <si>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</si>
  <si>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</si>
  <si>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</si>
  <si>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</si>
  <si>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</si>
  <si>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</si>
  <si>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</si>
  <si>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</si>
  <si>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</si>
  <si>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</si>
  <si>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</si>
  <si>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</si>
  <si>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</si>
  <si>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</si>
  <si>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</si>
  <si>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</si>
  <si>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</si>
  <si>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</si>
  <si>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</si>
  <si>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</si>
  <si>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</si>
  <si>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</si>
  <si>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</si>
  <si>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</si>
  <si>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</si>
  <si>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</si>
  <si>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</si>
  <si>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</si>
  <si>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</si>
  <si>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</si>
  <si>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</si>
  <si>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</si>
  <si>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</si>
  <si>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</si>
  <si>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</si>
  <si>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</si>
  <si>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</si>
  <si>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</si>
  <si>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</si>
  <si>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</si>
  <si>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</si>
  <si>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</si>
  <si>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</si>
  <si>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</si>
  <si>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</si>
  <si>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</si>
  <si>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</si>
  <si>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</si>
  <si>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</si>
  <si>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</si>
  <si>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</si>
  <si>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</si>
  <si>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</si>
  <si>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</si>
  <si>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</si>
  <si>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</si>
  <si>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</si>
  <si>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</si>
  <si>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</si>
  <si>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</si>
  <si>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</si>
  <si>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</si>
  <si>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</si>
  <si>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</si>
  <si>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</si>
  <si>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</si>
  <si>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</si>
  <si>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</si>
  <si>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</si>
  <si>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</si>
  <si>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</si>
  <si>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</si>
  <si>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</si>
  <si>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</si>
  <si>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</si>
  <si>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</si>
  <si>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</si>
  <si>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</si>
  <si>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</si>
  <si>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</si>
  <si>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</si>
  <si>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</si>
  <si>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</si>
  <si>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</si>
  <si>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</si>
  <si>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</si>
  <si>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</si>
  <si>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</si>
  <si>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</si>
  <si>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</si>
  <si>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</si>
  <si>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</si>
  <si>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</si>
  <si>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</si>
  <si>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</si>
  <si>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</si>
  <si>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</si>
  <si>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</si>
  <si>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</si>
  <si>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</si>
  <si>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</si>
  <si>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</si>
  <si>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</si>
  <si>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</si>
  <si>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</si>
  <si>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</si>
  <si>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</si>
  <si>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</si>
  <si>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</si>
  <si>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</si>
  <si>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</si>
  <si>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</si>
  <si>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</si>
  <si>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</si>
  <si>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</si>
  <si>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</si>
  <si>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</si>
  <si>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</si>
  <si>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</si>
  <si>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</si>
  <si>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</si>
  <si>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</si>
  <si>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</si>
  <si>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</si>
  <si>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</si>
  <si>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</si>
  <si>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</si>
  <si>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</si>
  <si>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</si>
  <si>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</si>
  <si>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</si>
  <si>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</si>
  <si>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</si>
  <si>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</si>
  <si>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</si>
  <si>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</si>
  <si>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</si>
  <si>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</si>
  <si>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</si>
  <si>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</si>
  <si>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</si>
  <si>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</si>
  <si>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</si>
  <si>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</si>
  <si>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</si>
  <si>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</si>
  <si>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</si>
  <si>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</si>
  <si>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</si>
  <si>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</si>
  <si>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</si>
  <si>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</si>
  <si>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</si>
  <si>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</si>
  <si>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</si>
  <si>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</si>
  <si>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</si>
  <si>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</si>
  <si>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</si>
  <si>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</si>
  <si>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</si>
  <si>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</si>
  <si>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</si>
  <si>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</si>
  <si>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</si>
  <si>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</si>
  <si>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</si>
  <si>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</si>
  <si>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</si>
  <si>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</si>
  <si>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</si>
  <si>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</si>
  <si>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</si>
  <si>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</si>
  <si>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</si>
  <si>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</si>
  <si>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</si>
  <si>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</si>
  <si>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</si>
  <si>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</si>
  <si>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</si>
  <si>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</si>
  <si>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</si>
  <si>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</si>
  <si>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</si>
  <si>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</si>
  <si>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</si>
  <si>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</si>
  <si>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</si>
  <si>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</si>
  <si>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</si>
  <si>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</si>
  <si>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</si>
  <si>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</si>
  <si>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</si>
  <si>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</si>
  <si>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</si>
  <si>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</si>
  <si>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</si>
  <si>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</si>
  <si>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</si>
  <si>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</si>
  <si>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</si>
  <si>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</si>
  <si>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</si>
  <si>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</si>
  <si>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</si>
  <si>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</si>
  <si>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</si>
  <si>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</si>
  <si>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</si>
  <si>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</si>
  <si>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</si>
  <si>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</si>
  <si>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</si>
  <si>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</si>
  <si>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</si>
  <si>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</si>
  <si>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</si>
  <si>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</si>
  <si>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</si>
  <si>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</si>
  <si>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</si>
  <si>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</si>
  <si>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</si>
  <si>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</si>
  <si>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</si>
  <si>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</si>
  <si>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</si>
  <si>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</si>
  <si>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</si>
  <si>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</si>
  <si>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</si>
  <si>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</si>
  <si>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</si>
  <si>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</si>
  <si>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</si>
  <si>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</si>
  <si>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</si>
  <si>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</si>
  <si>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</si>
  <si>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</si>
  <si>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</si>
  <si>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</si>
  <si>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</si>
  <si>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</si>
  <si>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</si>
  <si>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</si>
  <si>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</si>
  <si>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</si>
  <si>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</si>
  <si>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</si>
  <si>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</si>
  <si>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</si>
  <si>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</si>
  <si>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</si>
  <si>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</si>
  <si>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</si>
  <si>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</si>
  <si>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</si>
  <si>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</si>
  <si>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</si>
  <si>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</si>
  <si>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</si>
  <si>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</si>
  <si>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</si>
  <si>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</si>
  <si>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</si>
  <si>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</si>
  <si>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</si>
  <si>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</si>
  <si>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</si>
  <si>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</si>
  <si>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</si>
  <si>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</si>
  <si>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</si>
  <si>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</si>
  <si>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</si>
  <si>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</si>
  <si>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</si>
  <si>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</si>
  <si>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</si>
  <si>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</si>
  <si>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</si>
  <si>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</si>
  <si>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</si>
  <si>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</si>
  <si>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</si>
  <si>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</si>
  <si>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</si>
  <si>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</si>
  <si>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</si>
  <si>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</si>
  <si>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</si>
  <si>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</si>
  <si>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</si>
  <si>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</si>
  <si>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</si>
  <si>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</si>
  <si>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</si>
  <si>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</si>
  <si>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</si>
  <si>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</si>
  <si>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</si>
  <si>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</si>
  <si>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</si>
  <si>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</si>
  <si>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</si>
  <si>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</si>
  <si>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</si>
  <si>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</si>
  <si>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</si>
  <si>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</si>
  <si>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</si>
  <si>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</si>
  <si>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</si>
  <si>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</si>
  <si>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</si>
  <si>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</si>
  <si>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</si>
  <si>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</si>
  <si>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</si>
  <si>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</si>
  <si>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</si>
  <si>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</si>
  <si>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</si>
  <si>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</si>
  <si>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</si>
  <si>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</si>
  <si>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</si>
  <si>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</si>
  <si>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</si>
  <si>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</si>
  <si>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</si>
  <si>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</si>
  <si>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</si>
  <si>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</si>
  <si>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</si>
  <si>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</si>
  <si>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</si>
  <si>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</si>
  <si>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</si>
  <si>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</si>
  <si>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</si>
  <si>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</si>
  <si>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</si>
  <si>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</si>
  <si>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</si>
  <si>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</si>
  <si>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</si>
  <si>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</si>
  <si>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</si>
  <si>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</si>
  <si>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</si>
  <si>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</si>
  <si>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</si>
  <si>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</si>
  <si>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</si>
  <si>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</si>
  <si>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</si>
  <si>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</si>
  <si>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</si>
  <si>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</si>
  <si>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</si>
  <si>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</si>
  <si>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</si>
  <si>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</si>
  <si>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</si>
  <si>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</si>
  <si>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</si>
  <si>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</si>
  <si>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</si>
  <si>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</si>
  <si>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</si>
  <si>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</si>
  <si>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</si>
  <si>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</si>
  <si>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</si>
  <si>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</si>
  <si>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</si>
  <si>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</si>
  <si>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</si>
  <si>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</si>
  <si>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</si>
  <si>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</si>
  <si>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</si>
  <si>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</si>
  <si>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</si>
  <si>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</si>
  <si>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</si>
  <si>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</si>
  <si>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</si>
  <si>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</si>
  <si>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</si>
  <si>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</si>
  <si>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</si>
  <si>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</si>
  <si>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</si>
  <si>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</si>
  <si>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</si>
  <si>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</si>
  <si>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</si>
  <si>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</si>
  <si>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</si>
  <si>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</si>
  <si>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</si>
  <si>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</si>
  <si>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</si>
  <si>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</si>
  <si>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</si>
  <si>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</si>
  <si>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</si>
  <si>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</si>
  <si>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</si>
  <si>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</si>
  <si>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</si>
  <si>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</si>
  <si>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</si>
  <si>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</si>
  <si>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</si>
  <si>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</si>
  <si>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</si>
  <si>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</si>
  <si>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</si>
  <si>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</si>
  <si>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</si>
  <si>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</si>
  <si>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</si>
  <si>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</si>
  <si>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</si>
  <si>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</si>
  <si>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</si>
  <si>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</si>
  <si>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</si>
  <si>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</si>
  <si>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</si>
  <si>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</si>
  <si>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</si>
  <si>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</si>
  <si>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</si>
  <si>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</si>
  <si>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</si>
  <si>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</si>
  <si>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</si>
  <si>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</si>
  <si>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</si>
  <si>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</si>
  <si>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</si>
  <si>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</si>
  <si>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</si>
  <si>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</si>
  <si>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</si>
  <si>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</si>
  <si>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</si>
  <si>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</si>
  <si>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</si>
  <si>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</si>
  <si>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</si>
  <si>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</si>
  <si>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</si>
  <si>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</si>
  <si>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</si>
  <si>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</si>
  <si>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</si>
  <si>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</si>
  <si>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</si>
  <si>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</si>
  <si>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</si>
  <si>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</si>
  <si>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</si>
  <si>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</si>
  <si>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</si>
  <si>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</si>
  <si>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</si>
  <si>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</si>
  <si>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</si>
  <si>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</si>
  <si>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</si>
  <si>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</si>
  <si>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</si>
  <si>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</si>
  <si>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</si>
  <si>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</si>
  <si>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</si>
  <si>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</si>
  <si>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</si>
  <si>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</si>
  <si>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</si>
  <si>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</si>
  <si>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</si>
  <si>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</si>
  <si>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</si>
  <si>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</si>
  <si>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</si>
  <si>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</si>
  <si>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</si>
  <si>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</si>
  <si>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</si>
  <si>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</si>
  <si>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</si>
  <si>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</si>
  <si>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</si>
  <si>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</si>
  <si>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</si>
  <si>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</si>
  <si>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</si>
  <si>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</si>
  <si>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</si>
  <si>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</si>
  <si>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</si>
  <si>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</si>
  <si>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</si>
  <si>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</si>
  <si>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</si>
  <si>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</si>
  <si>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</si>
  <si>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</si>
  <si>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</si>
  <si>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</si>
  <si>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</si>
  <si>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</si>
  <si>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</si>
  <si>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</si>
  <si>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</si>
  <si>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</si>
  <si>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</si>
  <si>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</si>
  <si>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</si>
  <si>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</si>
  <si>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</si>
  <si>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</si>
  <si>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</si>
  <si>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</si>
  <si>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</si>
  <si>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</si>
  <si>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</si>
  <si>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</si>
  <si>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</si>
  <si>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</si>
  <si>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</si>
  <si>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</si>
  <si>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</si>
  <si>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</si>
  <si>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</si>
  <si>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</si>
  <si>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</si>
  <si>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</si>
  <si>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</si>
  <si>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</si>
  <si>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</si>
  <si>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</si>
  <si>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</si>
  <si>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</si>
  <si>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</si>
  <si>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</si>
  <si>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</si>
  <si>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</si>
  <si>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</si>
  <si>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</si>
  <si>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</si>
  <si>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</si>
  <si>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</si>
  <si>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</si>
  <si>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</si>
  <si>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</si>
  <si>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</si>
  <si>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</si>
  <si>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</si>
  <si>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</si>
  <si>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</si>
  <si>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</si>
  <si>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</si>
  <si>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</si>
  <si>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</si>
  <si>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</si>
  <si>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</si>
  <si>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</si>
  <si>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</si>
  <si>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</si>
  <si>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</si>
  <si>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</si>
  <si>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</si>
  <si>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</si>
  <si>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</si>
  <si>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</si>
  <si>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</si>
  <si>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</si>
  <si>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</si>
  <si>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</si>
  <si>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</si>
  <si>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</si>
  <si>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</si>
  <si>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</si>
  <si>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</si>
  <si>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</si>
  <si>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</si>
  <si>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</si>
  <si>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</si>
  <si>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</si>
  <si>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</si>
  <si>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</si>
  <si>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</si>
  <si>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</si>
  <si>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</si>
  <si>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</si>
  <si>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</si>
  <si>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</si>
  <si>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</si>
  <si>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</si>
  <si>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</si>
  <si>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</si>
  <si>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</si>
  <si>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</si>
  <si>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</si>
  <si>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</si>
  <si>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</si>
  <si>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</si>
  <si>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</si>
  <si>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</si>
  <si>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</si>
  <si>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</si>
  <si>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</si>
  <si>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</si>
  <si>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</si>
  <si>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</si>
  <si>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</si>
  <si>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</si>
  <si>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</si>
  <si>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</si>
  <si>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</si>
  <si>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</si>
  <si>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</si>
  <si>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</si>
  <si>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</si>
  <si>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</si>
  <si>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</si>
  <si>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</si>
  <si>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</si>
  <si>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</si>
  <si>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</si>
  <si>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</si>
  <si>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</si>
  <si>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</si>
  <si>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</si>
  <si>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</si>
  <si>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</si>
  <si>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</si>
  <si>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</si>
  <si>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</si>
  <si>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</si>
  <si>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</si>
  <si>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</si>
  <si>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</si>
  <si>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</si>
  <si>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</si>
  <si>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</si>
  <si>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</si>
  <si>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</si>
  <si>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</si>
  <si>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</si>
  <si>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</si>
  <si>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</si>
  <si>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</si>
  <si>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</si>
  <si>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</si>
  <si>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</si>
  <si>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</si>
  <si>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</si>
  <si>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</si>
  <si>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</si>
  <si>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</si>
  <si>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</si>
  <si>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</si>
  <si>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</si>
  <si>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</si>
  <si>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</si>
  <si>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</si>
  <si>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</si>
  <si>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</si>
  <si>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</si>
  <si>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</si>
  <si>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</si>
  <si>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</si>
  <si>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</si>
  <si>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</si>
  <si>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</si>
  <si>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</si>
  <si>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</si>
  <si>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</si>
  <si>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</si>
  <si>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</si>
  <si>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</si>
  <si>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</si>
  <si>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</si>
  <si>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</si>
  <si>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</si>
  <si>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</si>
  <si>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</si>
  <si>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</si>
  <si>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</si>
  <si>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</si>
  <si>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</si>
  <si>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</si>
  <si>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</si>
  <si>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</si>
  <si>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</si>
  <si>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</si>
  <si>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</si>
  <si>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</si>
  <si>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</si>
  <si>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</si>
  <si>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</si>
  <si>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</si>
  <si>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</si>
  <si>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</si>
  <si>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</si>
  <si>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</si>
  <si>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</si>
  <si>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</si>
  <si>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</si>
  <si>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</si>
  <si>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</si>
  <si>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</si>
  <si>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</si>
  <si>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</si>
  <si>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</si>
  <si>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</si>
  <si>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</si>
  <si>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</si>
  <si>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</si>
  <si>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</si>
  <si>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</si>
  <si>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</si>
  <si>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</si>
  <si>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</si>
  <si>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</si>
  <si>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</si>
  <si>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</si>
  <si>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</si>
  <si>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</si>
  <si>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</si>
  <si>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</si>
  <si>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</si>
  <si>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</si>
  <si>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</si>
  <si>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</si>
  <si>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</si>
  <si>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</si>
  <si>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</si>
  <si>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</si>
  <si>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</si>
  <si>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</si>
  <si>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</si>
  <si>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</si>
  <si>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</si>
  <si>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</si>
  <si>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</si>
  <si>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</si>
  <si>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</si>
  <si>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</si>
  <si>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</si>
  <si>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</si>
  <si>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</si>
  <si>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</si>
  <si>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</si>
  <si>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</si>
  <si>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</si>
  <si>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</si>
  <si>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</si>
  <si>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</si>
  <si>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</si>
  <si>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</si>
  <si>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</si>
  <si>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</si>
  <si>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</si>
  <si>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</si>
  <si>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</si>
  <si>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</si>
  <si>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</si>
  <si>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</si>
  <si>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</si>
  <si>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</si>
  <si>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</si>
  <si>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</si>
  <si>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</si>
  <si>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</si>
  <si>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</si>
  <si>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</si>
  <si>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</si>
  <si>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</si>
  <si>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</si>
  <si>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</si>
  <si>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</si>
  <si>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</si>
  <si>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</si>
  <si>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</si>
  <si>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</si>
  <si>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</si>
  <si>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</si>
  <si>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</si>
  <si>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</si>
  <si>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</si>
  <si>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</si>
  <si>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</si>
  <si>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</si>
  <si>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</si>
  <si>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</si>
  <si>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</si>
  <si>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</si>
  <si>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</si>
  <si>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</si>
  <si>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</si>
  <si>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</si>
  <si>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</si>
  <si>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</si>
  <si>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</si>
  <si>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</si>
  <si>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</si>
  <si>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</si>
  <si>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</si>
  <si>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</si>
  <si>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</si>
  <si>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</si>
  <si>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</si>
  <si>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</si>
  <si>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</si>
  <si>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</si>
  <si>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</si>
  <si>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</si>
  <si>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</si>
  <si>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</si>
  <si>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</si>
  <si>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</si>
  <si>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</si>
  <si>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</si>
  <si>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</si>
  <si>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</si>
  <si>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</si>
  <si>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</si>
  <si>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</si>
  <si>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</si>
  <si>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</si>
  <si>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</si>
  <si>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</si>
  <si>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</si>
  <si>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</si>
  <si>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</si>
  <si>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</si>
  <si>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</si>
  <si>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</si>
  <si>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</si>
  <si>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</si>
  <si>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</si>
  <si>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</si>
  <si>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</si>
  <si>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</si>
  <si>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</si>
  <si>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</si>
  <si>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</si>
  <si>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</si>
  <si>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</si>
  <si>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</si>
  <si>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</si>
  <si>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</si>
  <si>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</si>
  <si>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</si>
  <si>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</si>
  <si>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</si>
  <si>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</si>
  <si>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</si>
  <si>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</si>
  <si>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</si>
  <si>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</si>
  <si>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</si>
  <si>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</si>
  <si>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</si>
  <si>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</si>
  <si>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</si>
  <si>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</si>
  <si>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</si>
  <si>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</si>
  <si>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</si>
  <si>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</si>
  <si>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</si>
  <si>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</si>
  <si>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</si>
  <si>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</si>
  <si>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</si>
  <si>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</si>
  <si>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</si>
  <si>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</si>
  <si>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</si>
  <si>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</si>
  <si>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</si>
  <si>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</si>
  <si>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</si>
  <si>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</si>
  <si>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</si>
  <si>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</si>
  <si>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</si>
  <si>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</si>
  <si>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</si>
  <si>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</si>
  <si>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</si>
  <si>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</si>
  <si>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</si>
  <si>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</si>
  <si>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</si>
  <si>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</si>
  <si>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</si>
  <si>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</si>
  <si>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</si>
  <si>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</si>
  <si>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</si>
  <si>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</si>
  <si>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</si>
  <si>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</si>
  <si>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</si>
  <si>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</si>
  <si>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</si>
  <si>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</si>
  <si>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</si>
  <si>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</si>
  <si>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</si>
  <si>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</si>
  <si>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</si>
  <si>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</si>
  <si>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</si>
  <si>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</si>
  <si>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</si>
  <si>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</si>
  <si>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</si>
  <si>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b756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</si>
</sst>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L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Несебър</v>
      </c>
      <c r="C2" s="1729"/>
      <c r="D2" s="1730"/>
      <c r="E2" s="1019"/>
      <c r="F2" s="1020">
        <f>+OTCHET!H9</f>
        <v>0</v>
      </c>
      <c r="G2" s="1021" t="str">
        <f>+OTCHET!F12</f>
        <v>5206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43585</v>
      </c>
      <c r="M6" s="1019"/>
      <c r="N6" s="1044" t="s">
        <v>1000</v>
      </c>
      <c r="O6" s="1008"/>
      <c r="P6" s="1045">
        <f>OTCHET!F9</f>
        <v>43585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43585</v>
      </c>
      <c r="H9" s="1019"/>
      <c r="I9" s="1069">
        <f>+L4</f>
        <v>2019</v>
      </c>
      <c r="J9" s="1070">
        <f>+L6</f>
        <v>43585</v>
      </c>
      <c r="K9" s="1071"/>
      <c r="L9" s="1072">
        <f>+L6</f>
        <v>43585</v>
      </c>
      <c r="M9" s="1071"/>
      <c r="N9" s="1073">
        <f>+L6</f>
        <v>43585</v>
      </c>
      <c r="O9" s="1074"/>
      <c r="P9" s="1075">
        <f>+L4</f>
        <v>2019</v>
      </c>
      <c r="Q9" s="1073">
        <f>+L6</f>
        <v>43585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795000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795000</v>
      </c>
      <c r="Q59" s="1120">
        <f>+ROUND(+OTCHET!L275+OTCHET!L276,0)</f>
        <v>0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795000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795000</v>
      </c>
      <c r="Q63" s="1208">
        <f>+ROUND(+SUM(Q58:Q61),0)</f>
        <v>0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795000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795000</v>
      </c>
      <c r="Q77" s="1232">
        <f>+ROUND(Q56+Q63+Q67+Q71+Q75,0)</f>
        <v>0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795000</v>
      </c>
      <c r="J79" s="1108">
        <f>+IF(OR($P$2=98,$P$2=42,$P$2=96,$P$2=97),$Q79,0)</f>
        <v>794103</v>
      </c>
      <c r="K79" s="1095"/>
      <c r="L79" s="1108">
        <f>+IF($P$2=33,$Q79,0)</f>
        <v>0</v>
      </c>
      <c r="M79" s="1095"/>
      <c r="N79" s="1109">
        <f>+ROUND(+G79+J79+L79,0)</f>
        <v>794103</v>
      </c>
      <c r="O79" s="1097"/>
      <c r="P79" s="1107">
        <f>+ROUND(OTCHET!E419,0)</f>
        <v>795000</v>
      </c>
      <c r="Q79" s="1108">
        <f>+ROUND(OTCHET!L419,0)</f>
        <v>794103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-154463</v>
      </c>
      <c r="K80" s="1095"/>
      <c r="L80" s="1120">
        <f>+IF($P$2=33,$Q80,0)</f>
        <v>0</v>
      </c>
      <c r="M80" s="1095"/>
      <c r="N80" s="1121">
        <f>+ROUND(+G80+J80+L80,0)</f>
        <v>-154463</v>
      </c>
      <c r="O80" s="1097"/>
      <c r="P80" s="1119">
        <f>+ROUND(OTCHET!E429,0)</f>
        <v>0</v>
      </c>
      <c r="Q80" s="1120">
        <f>+ROUND(OTCHET!L429,0)</f>
        <v>-154463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795000</v>
      </c>
      <c r="J81" s="1242">
        <f>+ROUND(J79+J80,0)</f>
        <v>639640</v>
      </c>
      <c r="K81" s="1095"/>
      <c r="L81" s="1242">
        <f>+ROUND(L79+L80,0)</f>
        <v>0</v>
      </c>
      <c r="M81" s="1095"/>
      <c r="N81" s="1243">
        <f>+ROUND(N79+N80,0)</f>
        <v>639640</v>
      </c>
      <c r="O81" s="1097"/>
      <c r="P81" s="1241">
        <f>+ROUND(P79+P80,0)</f>
        <v>795000</v>
      </c>
      <c r="Q81" s="1242">
        <f>+ROUND(Q79+Q80,0)</f>
        <v>639640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639640</v>
      </c>
      <c r="K83" s="1095"/>
      <c r="L83" s="1255">
        <f>+ROUND(L48,0)-ROUND(L77,0)+ROUND(L81,0)</f>
        <v>0</v>
      </c>
      <c r="M83" s="1095"/>
      <c r="N83" s="1256">
        <f>+ROUND(N48,0)-ROUND(N77,0)+ROUND(N81,0)</f>
        <v>639640</v>
      </c>
      <c r="O83" s="1257"/>
      <c r="P83" s="1254">
        <f>+ROUND(P48,0)-ROUND(P77,0)+ROUND(P81,0)</f>
        <v>0</v>
      </c>
      <c r="Q83" s="1255">
        <f>+ROUND(Q48,0)-ROUND(Q77,0)+ROUND(Q81,0)</f>
        <v>639640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-639640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-639640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-639640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639640</v>
      </c>
      <c r="K131" s="1095"/>
      <c r="L131" s="1120">
        <f>+IF($P$2=33,$Q131,0)</f>
        <v>0</v>
      </c>
      <c r="M131" s="1095"/>
      <c r="N131" s="1121">
        <f>+ROUND(+G131+J131+L131,0)</f>
        <v>639640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639640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639640</v>
      </c>
      <c r="K132" s="1095"/>
      <c r="L132" s="1295">
        <f>+ROUND(+L131-L129-L130,0)</f>
        <v>0</v>
      </c>
      <c r="M132" s="1095"/>
      <c r="N132" s="1296">
        <f>+ROUND(+N131-N129-N130,0)</f>
        <v>639640</v>
      </c>
      <c r="O132" s="1097"/>
      <c r="P132" s="1294">
        <f>+ROUND(+P131-P129-P130,0)</f>
        <v>0</v>
      </c>
      <c r="Q132" s="1295">
        <f>+ROUND(+Q131-Q129-Q130,0)</f>
        <v>639640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43585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795000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795000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795000</v>
      </c>
      <c r="F56" s="892">
        <f>+F57+F58+F62</f>
        <v>639640</v>
      </c>
      <c r="G56" s="893">
        <f>+G57+G58+G62</f>
        <v>0</v>
      </c>
      <c r="H56" s="894">
        <f>+H57+H58+H62</f>
        <v>639640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795000</v>
      </c>
      <c r="F58" s="901">
        <f t="shared" si="2"/>
        <v>639640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639640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-154463</v>
      </c>
      <c r="G59" s="906">
        <f>+OTCHET!I422+OTCHET!I423+OTCHET!I424+OTCHET!I425+OTCHET!I426</f>
        <v>0</v>
      </c>
      <c r="H59" s="907">
        <f>+OTCHET!J422+OTCHET!J423+OTCHET!J424+OTCHET!J425+OTCHET!J426</f>
        <v>-154463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639640</v>
      </c>
      <c r="G64" s="928">
        <f>+G22-G38+G56-G63</f>
        <v>0</v>
      </c>
      <c r="H64" s="929">
        <f>+H22-H38+H56-H63</f>
        <v>639640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-639640</v>
      </c>
      <c r="G66" s="938">
        <f>SUM(+G68+G76+G77+G84+G85+G86+G89+G90+G91+G92+G93+G94+G95)</f>
        <v>0</v>
      </c>
      <c r="H66" s="939">
        <f>SUM(+H68+H76+H77+H84+H85+H86+H89+H90+H91+H92+H93+H94+H95)</f>
        <v>-639640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-639640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-639640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zoomScale="75" zoomScaleNormal="75" zoomScaleSheetLayoutView="85" workbookViewId="0" topLeftCell="B379">
      <selection activeCell="Q390" sqref="Q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РА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1738</v>
      </c>
      <c r="C9" s="1825"/>
      <c r="D9" s="1826"/>
      <c r="E9" s="115">
        <v>43466</v>
      </c>
      <c r="F9" s="116">
        <v>43585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Несебър</v>
      </c>
      <c r="C12" s="1787"/>
      <c r="D12" s="1788"/>
      <c r="E12" s="118" t="s">
        <v>965</v>
      </c>
      <c r="F12" s="1586" t="s">
        <v>1378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2054</v>
      </c>
      <c r="F19" s="1828"/>
      <c r="G19" s="1828"/>
      <c r="H19" s="1829"/>
      <c r="I19" s="1833" t="s">
        <v>2055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РА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Несебър</v>
      </c>
      <c r="C176" s="1784"/>
      <c r="D176" s="1785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Несебър</v>
      </c>
      <c r="C179" s="1787"/>
      <c r="D179" s="1788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2056</v>
      </c>
      <c r="F183" s="1828"/>
      <c r="G183" s="1828"/>
      <c r="H183" s="1829"/>
      <c r="I183" s="1836" t="s">
        <v>2057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795000</v>
      </c>
      <c r="F275" s="274">
        <f t="shared" si="68"/>
        <v>0</v>
      </c>
      <c r="G275" s="275">
        <f t="shared" si="68"/>
        <v>795000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795000</v>
      </c>
      <c r="F301" s="396">
        <f t="shared" si="77"/>
        <v>0</v>
      </c>
      <c r="G301" s="397">
        <f t="shared" si="77"/>
        <v>795000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СРЕДСТВАТА ОТ ЕВРОПЕЙСКИЯ СЪЮЗ - РА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Несебър</v>
      </c>
      <c r="C350" s="1784"/>
      <c r="D350" s="1785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Несебър</v>
      </c>
      <c r="C353" s="1787"/>
      <c r="D353" s="1788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2058</v>
      </c>
      <c r="F357" s="1840"/>
      <c r="G357" s="1840"/>
      <c r="H357" s="1841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795000</v>
      </c>
      <c r="F399" s="459">
        <f t="shared" si="89"/>
        <v>0</v>
      </c>
      <c r="G399" s="473">
        <f t="shared" si="89"/>
        <v>795000</v>
      </c>
      <c r="H399" s="445">
        <f>SUM(H400:H401)</f>
        <v>0</v>
      </c>
      <c r="I399" s="459">
        <f t="shared" si="89"/>
        <v>0</v>
      </c>
      <c r="J399" s="444">
        <f t="shared" si="89"/>
        <v>794103</v>
      </c>
      <c r="K399" s="445">
        <f>SUM(K400:K401)</f>
        <v>0</v>
      </c>
      <c r="L399" s="1378">
        <f t="shared" si="89"/>
        <v>794103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795000</v>
      </c>
      <c r="F400" s="158"/>
      <c r="G400" s="159">
        <v>795000</v>
      </c>
      <c r="H400" s="154">
        <v>0</v>
      </c>
      <c r="I400" s="158"/>
      <c r="J400" s="159">
        <v>794103</v>
      </c>
      <c r="K400" s="154">
        <v>0</v>
      </c>
      <c r="L400" s="1379">
        <f>I400+J400+K400</f>
        <v>794103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795000</v>
      </c>
      <c r="F419" s="495">
        <f t="shared" si="95"/>
        <v>0</v>
      </c>
      <c r="G419" s="496">
        <f t="shared" si="95"/>
        <v>795000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794103</v>
      </c>
      <c r="K419" s="515">
        <f>SUM(K361,K375,K383,K388,K391,K396,K399,K402,K405,K406,K409,K412)</f>
        <v>0</v>
      </c>
      <c r="L419" s="512">
        <f t="shared" si="95"/>
        <v>794103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483"/>
      <c r="G424" s="484"/>
      <c r="H424" s="1475">
        <v>0</v>
      </c>
      <c r="I424" s="483"/>
      <c r="J424" s="484">
        <v>-154463</v>
      </c>
      <c r="K424" s="1475">
        <v>0</v>
      </c>
      <c r="L424" s="1378">
        <f>I424+J424+K424</f>
        <v>-154463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-154463</v>
      </c>
      <c r="K429" s="515">
        <f t="shared" si="97"/>
        <v>0</v>
      </c>
      <c r="L429" s="512">
        <f t="shared" si="97"/>
        <v>-154463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СРЕДСТВАТА ОТ ЕВРОПЕЙСКИЯ СЪЮЗ - РА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Несебър</v>
      </c>
      <c r="C435" s="1784"/>
      <c r="D435" s="1785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Несебър</v>
      </c>
      <c r="C438" s="1787"/>
      <c r="D438" s="1788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2060</v>
      </c>
      <c r="F442" s="1828"/>
      <c r="G442" s="1828"/>
      <c r="H442" s="1829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639640</v>
      </c>
      <c r="K445" s="548">
        <f t="shared" si="99"/>
        <v>0</v>
      </c>
      <c r="L445" s="549">
        <f t="shared" si="99"/>
        <v>639640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-639640</v>
      </c>
      <c r="K446" s="555">
        <f t="shared" si="100"/>
        <v>0</v>
      </c>
      <c r="L446" s="556">
        <f>+L597</f>
        <v>-639640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РА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Несебър</v>
      </c>
      <c r="C451" s="1784"/>
      <c r="D451" s="1785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Несебър</v>
      </c>
      <c r="C454" s="1787"/>
      <c r="D454" s="1788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2062</v>
      </c>
      <c r="F458" s="1831"/>
      <c r="G458" s="1831"/>
      <c r="H458" s="1832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-639640</v>
      </c>
      <c r="K566" s="581">
        <f t="shared" si="128"/>
        <v>0</v>
      </c>
      <c r="L566" s="578">
        <f t="shared" si="128"/>
        <v>-639640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-639640</v>
      </c>
      <c r="K573" s="1627">
        <v>0</v>
      </c>
      <c r="L573" s="1393">
        <f t="shared" si="129"/>
        <v>-639640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-639640</v>
      </c>
      <c r="K597" s="666">
        <f t="shared" si="133"/>
        <v>0</v>
      </c>
      <c r="L597" s="662">
        <f t="shared" si="133"/>
        <v>-639640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884</v>
      </c>
      <c r="E605" s="676"/>
      <c r="F605" s="677"/>
      <c r="G605" s="678" t="s">
        <v>885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91" t="str">
        <f>$B$7</f>
        <v>ОТЧЕТНИ ДАННИ ПО ЕБК ЗА СМЕТКИТЕ ЗА СРЕДСТВАТА ОТ ЕВРОПЕЙСКИЯ СЪЮЗ - РА</v>
      </c>
      <c r="C621" s="1792"/>
      <c r="D621" s="179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3" t="str">
        <f>$B$9</f>
        <v>Несебър</v>
      </c>
      <c r="C623" s="1784"/>
      <c r="D623" s="1785"/>
      <c r="E623" s="115">
        <f>$E$9</f>
        <v>43466</v>
      </c>
      <c r="F623" s="226">
        <f>$F$9</f>
        <v>43585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2" t="str">
        <f>$B$12</f>
        <v>Несебър</v>
      </c>
      <c r="C626" s="1843"/>
      <c r="D626" s="1844"/>
      <c r="E626" s="410" t="s">
        <v>892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827" t="s">
        <v>2051</v>
      </c>
      <c r="F630" s="1828"/>
      <c r="G630" s="1828"/>
      <c r="H630" s="1829"/>
      <c r="I630" s="1836" t="s">
        <v>2052</v>
      </c>
      <c r="J630" s="1837"/>
      <c r="K630" s="1837"/>
      <c r="L630" s="183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816" t="s">
        <v>746</v>
      </c>
      <c r="D637" s="1817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12" t="s">
        <v>749</v>
      </c>
      <c r="D640" s="181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814" t="s">
        <v>194</v>
      </c>
      <c r="D646" s="181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10" t="s">
        <v>199</v>
      </c>
      <c r="D654" s="1811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12" t="s">
        <v>200</v>
      </c>
      <c r="D655" s="1813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806" t="s">
        <v>272</v>
      </c>
      <c r="D673" s="1807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806" t="s">
        <v>724</v>
      </c>
      <c r="D677" s="1807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806" t="s">
        <v>219</v>
      </c>
      <c r="D683" s="1807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806" t="s">
        <v>221</v>
      </c>
      <c r="D686" s="1807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808" t="s">
        <v>222</v>
      </c>
      <c r="D687" s="1809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808" t="s">
        <v>223</v>
      </c>
      <c r="D688" s="1809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808" t="s">
        <v>1664</v>
      </c>
      <c r="D689" s="1809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806" t="s">
        <v>224</v>
      </c>
      <c r="D690" s="1807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806" t="s">
        <v>234</v>
      </c>
      <c r="D705" s="1807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806" t="s">
        <v>235</v>
      </c>
      <c r="D706" s="1807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806" t="s">
        <v>236</v>
      </c>
      <c r="D707" s="1807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806" t="s">
        <v>237</v>
      </c>
      <c r="D708" s="1807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806" t="s">
        <v>1665</v>
      </c>
      <c r="D715" s="1807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806" t="s">
        <v>1662</v>
      </c>
      <c r="D719" s="1807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806" t="s">
        <v>1663</v>
      </c>
      <c r="D720" s="1807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808" t="s">
        <v>247</v>
      </c>
      <c r="D721" s="1809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806" t="s">
        <v>273</v>
      </c>
      <c r="D722" s="1807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804" t="s">
        <v>248</v>
      </c>
      <c r="D725" s="1805"/>
      <c r="E725" s="310">
        <f>F725+G725+H725</f>
        <v>795000</v>
      </c>
      <c r="F725" s="1422"/>
      <c r="G725" s="1423">
        <v>795000</v>
      </c>
      <c r="H725" s="1424"/>
      <c r="I725" s="1422"/>
      <c r="J725" s="1423">
        <v>0</v>
      </c>
      <c r="K725" s="1424"/>
      <c r="L725" s="310">
        <f>I725+J725+K725</f>
        <v>0</v>
      </c>
      <c r="M725" s="12">
        <f t="shared" si="155"/>
        <v>1</v>
      </c>
      <c r="N725" s="13"/>
    </row>
    <row r="726" spans="2:14" ht="15.75">
      <c r="B726" s="365">
        <v>5200</v>
      </c>
      <c r="C726" s="1804" t="s">
        <v>249</v>
      </c>
      <c r="D726" s="1805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804" t="s">
        <v>625</v>
      </c>
      <c r="D734" s="1805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804" t="s">
        <v>687</v>
      </c>
      <c r="D737" s="1805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806" t="s">
        <v>688</v>
      </c>
      <c r="D738" s="1807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9" t="s">
        <v>917</v>
      </c>
      <c r="D743" s="180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801" t="s">
        <v>696</v>
      </c>
      <c r="D747" s="180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801" t="s">
        <v>696</v>
      </c>
      <c r="D748" s="180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795000</v>
      </c>
      <c r="F752" s="396">
        <f t="shared" si="169"/>
        <v>0</v>
      </c>
      <c r="G752" s="397">
        <f t="shared" si="169"/>
        <v>795000</v>
      </c>
      <c r="H752" s="398">
        <f t="shared" si="169"/>
        <v>0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2051</v>
      </c>
      <c r="M23" s="1828"/>
      <c r="N23" s="1828"/>
      <c r="O23" s="1829"/>
      <c r="P23" s="1836" t="s">
        <v>2052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Schetovoden2</cp:lastModifiedBy>
  <cp:lastPrinted>2019-01-10T13:58:54Z</cp:lastPrinted>
  <dcterms:created xsi:type="dcterms:W3CDTF">1997-12-10T11:54:07Z</dcterms:created>
  <dcterms:modified xsi:type="dcterms:W3CDTF">2019-05-10T11:50:46Z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